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4"/>
  <workbookPr/>
  <mc:AlternateContent xmlns:mc="http://schemas.openxmlformats.org/markup-compatibility/2006">
    <mc:Choice Requires="x15">
      <x15ac:absPath xmlns:x15ac="http://schemas.microsoft.com/office/spreadsheetml/2010/11/ac" url="C:\Users\mahia\Desktop\"/>
    </mc:Choice>
  </mc:AlternateContent>
  <xr:revisionPtr revIDLastSave="0" documentId="8_{153C8647-2C4F-4F52-B6AB-0BDA0C3C0979}" xr6:coauthVersionLast="47" xr6:coauthVersionMax="47" xr10:uidLastSave="{00000000-0000-0000-0000-000000000000}"/>
  <bookViews>
    <workbookView xWindow="0" yWindow="0" windowWidth="19200" windowHeight="6900" firstSheet="1" activeTab="1" xr2:uid="{00000000-000D-0000-FFFF-FFFF00000000}"/>
  </bookViews>
  <sheets>
    <sheet name="Regeneration Costs" sheetId="5" r:id="rId1"/>
    <sheet name="Duel Calculator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5" l="1"/>
  <c r="I4" i="5"/>
  <c r="G5" i="5"/>
  <c r="I5" i="5"/>
  <c r="G6" i="5"/>
  <c r="I6" i="5"/>
  <c r="G7" i="5"/>
  <c r="I7" i="5"/>
  <c r="G8" i="5"/>
  <c r="I8" i="5"/>
  <c r="L8" i="5" s="1"/>
  <c r="M8" i="5" s="1"/>
  <c r="G9" i="5"/>
  <c r="I9" i="5"/>
  <c r="G10" i="5"/>
  <c r="I10" i="5"/>
  <c r="G11" i="5"/>
  <c r="I11" i="5"/>
  <c r="G12" i="5"/>
  <c r="I12" i="5"/>
  <c r="G13" i="5"/>
  <c r="I13" i="5"/>
  <c r="G14" i="5"/>
  <c r="I14" i="5"/>
  <c r="G15" i="5"/>
  <c r="I15" i="5"/>
  <c r="G16" i="5"/>
  <c r="I16" i="5"/>
  <c r="L16" i="5" s="1"/>
  <c r="M16" i="5" s="1"/>
  <c r="L5" i="5"/>
  <c r="M5" i="5"/>
  <c r="L6" i="5"/>
  <c r="M6" i="5" s="1"/>
  <c r="L7" i="5"/>
  <c r="M7" i="5" s="1"/>
  <c r="L9" i="5"/>
  <c r="M9" i="5" s="1"/>
  <c r="L11" i="5"/>
  <c r="P11" i="5" s="1"/>
  <c r="R11" i="5" s="1"/>
  <c r="L13" i="5"/>
  <c r="M13" i="5"/>
  <c r="L14" i="5"/>
  <c r="M14" i="5" s="1"/>
  <c r="L15" i="5"/>
  <c r="M15" i="5" s="1"/>
  <c r="P5" i="5"/>
  <c r="R5" i="5" s="1"/>
  <c r="P13" i="5"/>
  <c r="R13" i="5"/>
  <c r="L12" i="5" l="1"/>
  <c r="M12" i="5" s="1"/>
  <c r="L10" i="5"/>
  <c r="L4" i="5"/>
  <c r="M4" i="5" s="1"/>
  <c r="P10" i="5"/>
  <c r="R10" i="5" s="1"/>
  <c r="M10" i="5"/>
  <c r="P9" i="5"/>
  <c r="R9" i="5" s="1"/>
  <c r="P6" i="5"/>
  <c r="R6" i="5" s="1"/>
  <c r="P14" i="5"/>
  <c r="R14" i="5" s="1"/>
  <c r="P15" i="5"/>
  <c r="R15" i="5" s="1"/>
  <c r="P7" i="5"/>
  <c r="R7" i="5" s="1"/>
  <c r="M11" i="5"/>
  <c r="P12" i="5"/>
  <c r="R12" i="5" s="1"/>
  <c r="P16" i="5"/>
  <c r="R16" i="5" s="1"/>
  <c r="P8" i="5"/>
  <c r="R8" i="5" s="1"/>
  <c r="P4" i="5"/>
  <c r="R4" i="5" s="1"/>
  <c r="X10" i="6" l="1"/>
  <c r="Z10" i="6" s="1"/>
  <c r="X9" i="6"/>
  <c r="Z9" i="6" s="1"/>
  <c r="J10" i="6"/>
  <c r="L10" i="6" s="1"/>
  <c r="J9" i="6"/>
  <c r="L9" i="6" s="1"/>
  <c r="Q26" i="6"/>
  <c r="Z21" i="6"/>
  <c r="Z22" i="6" s="1"/>
  <c r="Y21" i="6"/>
  <c r="Y22" i="6" s="1"/>
  <c r="X21" i="6"/>
  <c r="X22" i="6" s="1"/>
  <c r="W21" i="6"/>
  <c r="W22" i="6" s="1"/>
  <c r="V21" i="6"/>
  <c r="V22" i="6" s="1"/>
  <c r="U21" i="6"/>
  <c r="U22" i="6" s="1"/>
  <c r="T21" i="6"/>
  <c r="T22" i="6" s="1"/>
  <c r="S21" i="6"/>
  <c r="S22" i="6" s="1"/>
  <c r="R21" i="6"/>
  <c r="R22" i="6" s="1"/>
  <c r="Q21" i="6"/>
  <c r="Q22" i="6" s="1"/>
  <c r="Q13" i="6"/>
  <c r="C13" i="6"/>
  <c r="C26" i="6"/>
  <c r="L21" i="6"/>
  <c r="L22" i="6" s="1"/>
  <c r="K21" i="6"/>
  <c r="K22" i="6" s="1"/>
  <c r="J21" i="6"/>
  <c r="J22" i="6" s="1"/>
  <c r="I21" i="6"/>
  <c r="I22" i="6" s="1"/>
  <c r="H21" i="6"/>
  <c r="H22" i="6" s="1"/>
  <c r="G21" i="6"/>
  <c r="G22" i="6" s="1"/>
  <c r="F21" i="6"/>
  <c r="F22" i="6" s="1"/>
  <c r="E21" i="6"/>
  <c r="E22" i="6" s="1"/>
  <c r="D21" i="6"/>
  <c r="D22" i="6" s="1"/>
  <c r="C21" i="6"/>
  <c r="C22" i="6" s="1"/>
  <c r="Q24" i="6" l="1"/>
  <c r="Q40" i="6" s="1"/>
  <c r="C24" i="6"/>
  <c r="C38" i="6" l="1"/>
  <c r="C40" i="6"/>
  <c r="C41" i="6" s="1"/>
  <c r="C37" i="6"/>
  <c r="D37" i="6" s="1"/>
  <c r="C36" i="6"/>
  <c r="D36" i="6" s="1"/>
  <c r="Q25" i="6"/>
  <c r="Q41" i="6"/>
  <c r="Q36" i="6"/>
  <c r="Q38" i="6"/>
  <c r="Q37" i="6"/>
  <c r="C25" i="6"/>
  <c r="C31" i="6"/>
  <c r="Q31" i="6"/>
  <c r="Q32" i="6" s="1"/>
  <c r="Q33" i="6" s="1"/>
  <c r="D38" i="6" l="1"/>
  <c r="C32" i="6"/>
  <c r="C33" i="6" s="1"/>
  <c r="C47" i="6" s="1"/>
  <c r="C48" i="6" s="1"/>
  <c r="L13" i="6" s="1"/>
  <c r="Q47" i="6"/>
  <c r="Q48" i="6" s="1"/>
  <c r="R38" i="6"/>
  <c r="R37" i="6"/>
  <c r="R36" i="6"/>
  <c r="J5" i="6" s="1"/>
  <c r="X8" i="6" l="1"/>
  <c r="Z8" i="6" s="1"/>
  <c r="Z13" i="6"/>
  <c r="J8" i="6"/>
  <c r="L8" i="6" s="1"/>
  <c r="X5" i="6"/>
  <c r="Z5" i="6" s="1"/>
  <c r="L5" i="6"/>
  <c r="J6" i="6"/>
  <c r="L6" i="6" s="1"/>
  <c r="X6" i="6"/>
  <c r="Z6" i="6" s="1"/>
  <c r="J7" i="6"/>
  <c r="L7" i="6" s="1"/>
  <c r="X7" i="6"/>
  <c r="Z7" i="6" s="1"/>
  <c r="Z11" i="6" l="1"/>
  <c r="L11" i="6"/>
</calcChain>
</file>

<file path=xl/sharedStrings.xml><?xml version="1.0" encoding="utf-8"?>
<sst xmlns="http://schemas.openxmlformats.org/spreadsheetml/2006/main" count="135" uniqueCount="84">
  <si>
    <t>Regen Method</t>
  </si>
  <si>
    <t>Regen Temp
degC</t>
  </si>
  <si>
    <t>Heat Capacity 
J/g-K</t>
  </si>
  <si>
    <t>Latent Heat
J/g</t>
  </si>
  <si>
    <t>Heat of Rxn
KJ/mol</t>
  </si>
  <si>
    <t>Heat of Rxn
J/g</t>
  </si>
  <si>
    <t>Cost of Energy
$/kWh</t>
  </si>
  <si>
    <t>Cost of Energy
$/J</t>
  </si>
  <si>
    <t>Extra Costs (special)
$/tonne sorb</t>
  </si>
  <si>
    <t>Mass Reduction Factor
frac</t>
  </si>
  <si>
    <t>Cost of Regen
$/g sorbent</t>
  </si>
  <si>
    <t>Cost of Regen
$/tonne sorbent</t>
  </si>
  <si>
    <t>Example Mass
g</t>
  </si>
  <si>
    <t>Cost of Regen
$</t>
  </si>
  <si>
    <t>CO2 Captured
g</t>
  </si>
  <si>
    <t>$/t-CO2</t>
  </si>
  <si>
    <t>Strong Base, no precipitation</t>
  </si>
  <si>
    <t>Strong Base, causticization precipitation</t>
  </si>
  <si>
    <t>Strong Base, Bi-polar Membrane Electrodialysis</t>
  </si>
  <si>
    <t>Liquid amine (MEA)</t>
  </si>
  <si>
    <t>Amino Acid (PyBIG)</t>
  </si>
  <si>
    <t>Lewatit (Ion Exchange Resin) w/ TVSA</t>
  </si>
  <si>
    <t>Lewatit (Ion Exchange Resin) w/ TSA</t>
  </si>
  <si>
    <t>MOF (MIL 101CR) w/ TVSA</t>
  </si>
  <si>
    <t>MOF (MIL 101CR) w/ TSA</t>
  </si>
  <si>
    <t>Supported Amine (PEI) w/ TVSA</t>
  </si>
  <si>
    <t>Supported Amine (PEI) w/ TSA</t>
  </si>
  <si>
    <t>Algae (w/ BECCS)</t>
  </si>
  <si>
    <t>Moisture Swing Ion Exchange Resin (I-200)</t>
  </si>
  <si>
    <t>TEAM 1</t>
  </si>
  <si>
    <t>TEAM 2</t>
  </si>
  <si>
    <t>School</t>
  </si>
  <si>
    <t>University of Imaginationland</t>
  </si>
  <si>
    <t>Category</t>
  </si>
  <si>
    <t>W/L</t>
  </si>
  <si>
    <t>Value</t>
  </si>
  <si>
    <t>Score</t>
  </si>
  <si>
    <t>Fantasyland Tech</t>
  </si>
  <si>
    <t>Team Name</t>
  </si>
  <si>
    <t>Cubenators</t>
  </si>
  <si>
    <t>CO2/mass</t>
  </si>
  <si>
    <t>Decarbonizers</t>
  </si>
  <si>
    <t>CO2/cost</t>
  </si>
  <si>
    <t>Empty Cube Weight, kg</t>
  </si>
  <si>
    <t>CO2/power</t>
  </si>
  <si>
    <t>Loaded Cube Weight, kg</t>
  </si>
  <si>
    <t>$/tonne</t>
  </si>
  <si>
    <t>Reported Cube Cost, $</t>
  </si>
  <si>
    <t>Smell</t>
  </si>
  <si>
    <t>Wagered CO2 Capture, mL</t>
  </si>
  <si>
    <t>Temp</t>
  </si>
  <si>
    <t>Regen Methodology</t>
  </si>
  <si>
    <t>TOTAL</t>
  </si>
  <si>
    <t>Adsorbant Weight, g</t>
  </si>
  <si>
    <t>COST TO CAPTURE ($/ton)</t>
  </si>
  <si>
    <t>Elapsed Time, min</t>
  </si>
  <si>
    <t>CO2 Inlet, ppm</t>
  </si>
  <si>
    <t>CO2 Outlet, ppm</t>
  </si>
  <si>
    <t>Outlet Flowrate, L/min</t>
  </si>
  <si>
    <t>Power Totalizer, Wh</t>
  </si>
  <si>
    <t>Delta CO2, ppm</t>
  </si>
  <si>
    <t>CO2 Captured, mL</t>
  </si>
  <si>
    <t>Total CO2 Captured, mL</t>
  </si>
  <si>
    <t>Total CO2 Captured, g</t>
  </si>
  <si>
    <t>Total Power, Wh</t>
  </si>
  <si>
    <t>Did the cube give off a smell?</t>
  </si>
  <si>
    <t>No</t>
  </si>
  <si>
    <t>Yes</t>
  </si>
  <si>
    <t>Did the outlet stay below 70F?</t>
  </si>
  <si>
    <t>$ Regen/tonne sorbent</t>
  </si>
  <si>
    <t>$ Regen/g sorbent</t>
  </si>
  <si>
    <t>Cube Regen Cost, $</t>
  </si>
  <si>
    <t>RAW</t>
  </si>
  <si>
    <t>ADJUSTED</t>
  </si>
  <si>
    <t>Mass Weighted Capture</t>
  </si>
  <si>
    <t>Cube Cost Weighted Capture</t>
  </si>
  <si>
    <t>Power Weighted Capture</t>
  </si>
  <si>
    <t>% error from wager</t>
  </si>
  <si>
    <t>Score multiplier</t>
  </si>
  <si>
    <t>Amortization Factor (yrs)</t>
  </si>
  <si>
    <t>Power Cost, $/kWh</t>
  </si>
  <si>
    <t>Regen Cost scaling factor</t>
  </si>
  <si>
    <t>Cost to Capture, $/g CO2</t>
  </si>
  <si>
    <t>Cost to Capture, $/t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</si>
</sst>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9" fontId="3" fillId="2" borderId="0" xfId="1" applyFont="1" applyFill="1"/>
    <xf numFmtId="0" fontId="5" fillId="2" borderId="0" xfId="0" applyFont="1" applyFill="1"/>
    <xf numFmtId="0" fontId="2" fillId="0" borderId="9" xfId="0" applyFont="1" applyBorder="1"/>
    <xf numFmtId="0" fontId="0" fillId="0" borderId="9" xfId="0" applyBorder="1" applyAlignment="1">
      <alignment wrapText="1"/>
    </xf>
    <xf numFmtId="0" fontId="0" fillId="3" borderId="0" xfId="0" applyFill="1"/>
    <xf numFmtId="0" fontId="0" fillId="3" borderId="9" xfId="0" applyFill="1" applyBorder="1" applyAlignment="1">
      <alignment wrapText="1"/>
    </xf>
    <xf numFmtId="0" fontId="4" fillId="0" borderId="0" xfId="0" applyFont="1"/>
    <xf numFmtId="2" fontId="0" fillId="0" borderId="0" xfId="0" applyNumberFormat="1"/>
    <xf numFmtId="43" fontId="0" fillId="0" borderId="0" xfId="2" applyFont="1"/>
    <xf numFmtId="0" fontId="6" fillId="2" borderId="11" xfId="0" applyFont="1" applyFill="1" applyBorder="1"/>
    <xf numFmtId="0" fontId="0" fillId="2" borderId="11" xfId="0" applyFill="1" applyBorder="1"/>
    <xf numFmtId="0" fontId="6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/>
    <xf numFmtId="166" fontId="3" fillId="2" borderId="0" xfId="1" applyNumberFormat="1" applyFont="1" applyFill="1"/>
    <xf numFmtId="0" fontId="2" fillId="2" borderId="1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4" fontId="3" fillId="2" borderId="0" xfId="3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/>
    <xf numFmtId="0" fontId="3" fillId="2" borderId="16" xfId="0" applyFont="1" applyFill="1" applyBorder="1" applyAlignment="1">
      <alignment horizontal="center"/>
    </xf>
    <xf numFmtId="0" fontId="0" fillId="2" borderId="16" xfId="0" applyFill="1" applyBorder="1"/>
    <xf numFmtId="0" fontId="2" fillId="2" borderId="18" xfId="0" applyFont="1" applyFill="1" applyBorder="1"/>
    <xf numFmtId="165" fontId="3" fillId="2" borderId="17" xfId="0" applyNumberFormat="1" applyFont="1" applyFill="1" applyBorder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36"/>
  <sheetViews>
    <sheetView topLeftCell="B3" workbookViewId="0">
      <selection activeCell="L4" sqref="L4"/>
    </sheetView>
  </sheetViews>
  <sheetFormatPr defaultRowHeight="15"/>
  <cols>
    <col min="2" max="2" width="44" customWidth="1"/>
    <col min="3" max="3" width="12.42578125" hidden="1" customWidth="1"/>
    <col min="4" max="4" width="12.28515625" hidden="1" customWidth="1"/>
    <col min="5" max="8" width="0" hidden="1" customWidth="1"/>
    <col min="9" max="9" width="11.7109375" hidden="1" customWidth="1"/>
    <col min="10" max="10" width="14.42578125" hidden="1" customWidth="1"/>
    <col min="11" max="11" width="11.42578125" hidden="1" customWidth="1"/>
    <col min="12" max="12" width="12.85546875" customWidth="1"/>
    <col min="13" max="13" width="13.7109375" customWidth="1"/>
    <col min="14" max="14" width="1.85546875" style="8" customWidth="1"/>
    <col min="15" max="17" width="0" hidden="1" customWidth="1"/>
    <col min="18" max="18" width="13.28515625" hidden="1" customWidth="1"/>
  </cols>
  <sheetData>
    <row r="3" spans="2:18" ht="60.75" thickBot="1"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9"/>
      <c r="O3" s="7" t="s">
        <v>12</v>
      </c>
      <c r="P3" s="7" t="s">
        <v>13</v>
      </c>
      <c r="Q3" s="7" t="s">
        <v>14</v>
      </c>
      <c r="R3" s="7" t="s">
        <v>15</v>
      </c>
    </row>
    <row r="4" spans="2:18">
      <c r="B4" t="s">
        <v>16</v>
      </c>
      <c r="C4">
        <v>900</v>
      </c>
      <c r="D4">
        <v>4.18</v>
      </c>
      <c r="E4">
        <v>2260</v>
      </c>
      <c r="F4">
        <v>110</v>
      </c>
      <c r="G4">
        <f>F4/44*1000</f>
        <v>2500</v>
      </c>
      <c r="H4">
        <v>0.2</v>
      </c>
      <c r="I4">
        <f>H4/1000/3600</f>
        <v>5.5555555555555561E-8</v>
      </c>
      <c r="J4">
        <v>0</v>
      </c>
      <c r="K4">
        <v>1</v>
      </c>
      <c r="L4">
        <f t="shared" ref="L4:L16" si="0">(D4*(C4-25)+E4+G4)*I4+J4/1000000</f>
        <v>4.6763888888888891E-4</v>
      </c>
      <c r="M4" s="11">
        <f>L4*1000*1000</f>
        <v>467.63888888888891</v>
      </c>
      <c r="O4">
        <v>100</v>
      </c>
      <c r="P4">
        <f t="shared" ref="P4:P16" si="1">O4*L4</f>
        <v>4.676388888888889E-2</v>
      </c>
      <c r="Q4">
        <v>0.02</v>
      </c>
      <c r="R4" s="12">
        <f>P4/(Q4/1000000)</f>
        <v>2338194.4444444445</v>
      </c>
    </row>
    <row r="5" spans="2:18">
      <c r="B5" t="s">
        <v>17</v>
      </c>
      <c r="C5">
        <v>900</v>
      </c>
      <c r="D5">
        <v>0.83430000000000004</v>
      </c>
      <c r="E5">
        <v>0</v>
      </c>
      <c r="F5">
        <v>178</v>
      </c>
      <c r="G5">
        <f t="shared" ref="G5:G16" si="2">F5/44*1000</f>
        <v>4045.454545454546</v>
      </c>
      <c r="H5">
        <v>0.2</v>
      </c>
      <c r="I5">
        <f t="shared" ref="I5:I16" si="3">H5/1000/3600</f>
        <v>5.5555555555555561E-8</v>
      </c>
      <c r="J5">
        <v>0</v>
      </c>
      <c r="K5">
        <v>0.1</v>
      </c>
      <c r="L5">
        <f t="shared" si="0"/>
        <v>2.6530372474747481E-4</v>
      </c>
      <c r="M5" s="11">
        <f>L5*1000*1000</f>
        <v>265.3037247474748</v>
      </c>
      <c r="O5">
        <v>100</v>
      </c>
      <c r="P5">
        <f t="shared" si="1"/>
        <v>2.6530372474747481E-2</v>
      </c>
      <c r="Q5">
        <v>0.02</v>
      </c>
      <c r="R5" s="12">
        <f t="shared" ref="R5:R16" si="4">P5/(Q5/1000000)</f>
        <v>1326518.6237373741</v>
      </c>
    </row>
    <row r="6" spans="2:18">
      <c r="B6" t="s">
        <v>18</v>
      </c>
      <c r="C6">
        <v>25</v>
      </c>
      <c r="D6">
        <v>0</v>
      </c>
      <c r="E6">
        <v>0</v>
      </c>
      <c r="F6">
        <v>150</v>
      </c>
      <c r="G6">
        <f t="shared" si="2"/>
        <v>3409.090909090909</v>
      </c>
      <c r="H6">
        <v>0.2</v>
      </c>
      <c r="I6">
        <f t="shared" si="3"/>
        <v>5.5555555555555561E-8</v>
      </c>
      <c r="J6" s="10">
        <v>100</v>
      </c>
      <c r="K6">
        <v>1</v>
      </c>
      <c r="L6">
        <f t="shared" si="0"/>
        <v>2.8939393939393941E-4</v>
      </c>
      <c r="M6" s="11">
        <f t="shared" ref="M6:M16" si="5">L6*1000*1000</f>
        <v>289.39393939393943</v>
      </c>
      <c r="O6">
        <v>60</v>
      </c>
      <c r="P6">
        <f t="shared" si="1"/>
        <v>1.7363636363636366E-2</v>
      </c>
      <c r="Q6">
        <v>0.02</v>
      </c>
      <c r="R6" s="12">
        <f t="shared" si="4"/>
        <v>868181.81818181823</v>
      </c>
    </row>
    <row r="7" spans="2:18">
      <c r="B7" t="s">
        <v>19</v>
      </c>
      <c r="C7">
        <v>120</v>
      </c>
      <c r="D7">
        <v>4.18</v>
      </c>
      <c r="E7">
        <v>0</v>
      </c>
      <c r="F7">
        <v>75</v>
      </c>
      <c r="G7">
        <f t="shared" si="2"/>
        <v>1704.5454545454545</v>
      </c>
      <c r="H7">
        <v>0.2</v>
      </c>
      <c r="I7">
        <f t="shared" si="3"/>
        <v>5.5555555555555561E-8</v>
      </c>
      <c r="J7">
        <v>0</v>
      </c>
      <c r="K7">
        <v>1</v>
      </c>
      <c r="L7">
        <f t="shared" si="0"/>
        <v>1.1675808080808082E-4</v>
      </c>
      <c r="M7" s="11">
        <f t="shared" si="5"/>
        <v>116.75808080808081</v>
      </c>
      <c r="O7">
        <v>85</v>
      </c>
      <c r="P7">
        <f t="shared" si="1"/>
        <v>9.924436868686869E-3</v>
      </c>
      <c r="Q7">
        <v>0.02</v>
      </c>
      <c r="R7" s="12">
        <f t="shared" si="4"/>
        <v>496221.84343434346</v>
      </c>
    </row>
    <row r="8" spans="2:18">
      <c r="B8" t="s">
        <v>20</v>
      </c>
      <c r="C8">
        <v>100</v>
      </c>
      <c r="D8">
        <v>4.18</v>
      </c>
      <c r="E8">
        <v>0</v>
      </c>
      <c r="F8">
        <v>52</v>
      </c>
      <c r="G8">
        <f t="shared" si="2"/>
        <v>1181.818181818182</v>
      </c>
      <c r="H8">
        <v>0.2</v>
      </c>
      <c r="I8">
        <f t="shared" si="3"/>
        <v>5.5555555555555561E-8</v>
      </c>
      <c r="J8" s="10">
        <v>100</v>
      </c>
      <c r="K8">
        <v>1</v>
      </c>
      <c r="L8">
        <f t="shared" si="0"/>
        <v>1.8307323232323233E-4</v>
      </c>
      <c r="M8" s="11">
        <f t="shared" si="5"/>
        <v>183.07323232323233</v>
      </c>
      <c r="O8">
        <v>150</v>
      </c>
      <c r="P8">
        <f t="shared" si="1"/>
        <v>2.7460984848484849E-2</v>
      </c>
      <c r="Q8">
        <v>0.02</v>
      </c>
      <c r="R8" s="12">
        <f t="shared" si="4"/>
        <v>1373049.2424242424</v>
      </c>
    </row>
    <row r="9" spans="2:18">
      <c r="B9" t="s">
        <v>21</v>
      </c>
      <c r="C9" s="10">
        <v>50</v>
      </c>
      <c r="D9">
        <v>1.4</v>
      </c>
      <c r="E9">
        <v>0</v>
      </c>
      <c r="F9" s="10">
        <v>45</v>
      </c>
      <c r="G9">
        <f t="shared" si="2"/>
        <v>1022.7272727272727</v>
      </c>
      <c r="H9">
        <v>0.2</v>
      </c>
      <c r="I9">
        <f t="shared" si="3"/>
        <v>5.5555555555555561E-8</v>
      </c>
      <c r="J9" s="10">
        <v>0</v>
      </c>
      <c r="K9">
        <v>1</v>
      </c>
      <c r="L9">
        <f t="shared" si="0"/>
        <v>5.8762626262626268E-5</v>
      </c>
      <c r="M9" s="11">
        <f t="shared" si="5"/>
        <v>58.762626262626263</v>
      </c>
      <c r="O9">
        <v>15</v>
      </c>
      <c r="P9">
        <f t="shared" si="1"/>
        <v>8.8143939393939405E-4</v>
      </c>
      <c r="Q9">
        <v>0.02</v>
      </c>
      <c r="R9" s="12">
        <f>P9/(Q9/1000000)</f>
        <v>44071.969696969703</v>
      </c>
    </row>
    <row r="10" spans="2:18">
      <c r="B10" t="s">
        <v>22</v>
      </c>
      <c r="C10">
        <v>100</v>
      </c>
      <c r="D10">
        <v>1.4</v>
      </c>
      <c r="E10">
        <v>0</v>
      </c>
      <c r="F10" s="10">
        <v>45</v>
      </c>
      <c r="G10">
        <f t="shared" si="2"/>
        <v>1022.7272727272727</v>
      </c>
      <c r="H10">
        <v>0.2</v>
      </c>
      <c r="I10">
        <f t="shared" si="3"/>
        <v>5.5555555555555561E-8</v>
      </c>
      <c r="J10">
        <v>0</v>
      </c>
      <c r="K10">
        <v>1</v>
      </c>
      <c r="L10">
        <f t="shared" si="0"/>
        <v>6.2651515151515162E-5</v>
      </c>
      <c r="M10" s="11">
        <f t="shared" si="5"/>
        <v>62.651515151515163</v>
      </c>
      <c r="O10">
        <v>15</v>
      </c>
      <c r="P10">
        <f t="shared" si="1"/>
        <v>9.3977272727272746E-4</v>
      </c>
      <c r="Q10">
        <v>0.02</v>
      </c>
      <c r="R10" s="12">
        <f t="shared" si="4"/>
        <v>46988.636363636375</v>
      </c>
    </row>
    <row r="11" spans="2:18">
      <c r="B11" t="s">
        <v>23</v>
      </c>
      <c r="C11" s="10">
        <v>50</v>
      </c>
      <c r="D11">
        <v>0.9</v>
      </c>
      <c r="E11">
        <v>0</v>
      </c>
      <c r="F11" s="10">
        <v>45</v>
      </c>
      <c r="G11">
        <f t="shared" si="2"/>
        <v>1022.7272727272727</v>
      </c>
      <c r="H11">
        <v>0.2</v>
      </c>
      <c r="I11">
        <f t="shared" si="3"/>
        <v>5.5555555555555561E-8</v>
      </c>
      <c r="J11" s="10">
        <v>0</v>
      </c>
      <c r="K11">
        <v>1</v>
      </c>
      <c r="L11">
        <f t="shared" si="0"/>
        <v>5.8068181818181828E-5</v>
      </c>
      <c r="M11" s="11">
        <f t="shared" si="5"/>
        <v>58.068181818181834</v>
      </c>
      <c r="O11">
        <v>30</v>
      </c>
      <c r="P11">
        <f t="shared" si="1"/>
        <v>1.7420454545454549E-3</v>
      </c>
      <c r="Q11">
        <v>0.02</v>
      </c>
      <c r="R11" s="12">
        <f t="shared" si="4"/>
        <v>87102.27272727275</v>
      </c>
    </row>
    <row r="12" spans="2:18">
      <c r="B12" t="s">
        <v>24</v>
      </c>
      <c r="C12">
        <v>100</v>
      </c>
      <c r="D12">
        <v>0.9</v>
      </c>
      <c r="E12">
        <v>0</v>
      </c>
      <c r="F12" s="10">
        <v>45</v>
      </c>
      <c r="G12">
        <f t="shared" si="2"/>
        <v>1022.7272727272727</v>
      </c>
      <c r="H12">
        <v>0.2</v>
      </c>
      <c r="I12">
        <f t="shared" si="3"/>
        <v>5.5555555555555561E-8</v>
      </c>
      <c r="J12">
        <v>0</v>
      </c>
      <c r="K12">
        <v>1</v>
      </c>
      <c r="L12">
        <f t="shared" si="0"/>
        <v>6.0568181818181828E-5</v>
      </c>
      <c r="M12" s="11">
        <f t="shared" si="5"/>
        <v>60.568181818181827</v>
      </c>
      <c r="O12">
        <v>30</v>
      </c>
      <c r="P12">
        <f t="shared" si="1"/>
        <v>1.8170454545454549E-3</v>
      </c>
      <c r="Q12">
        <v>0.02</v>
      </c>
      <c r="R12" s="12">
        <f t="shared" si="4"/>
        <v>90852.272727272735</v>
      </c>
    </row>
    <row r="13" spans="2:18">
      <c r="B13" t="s">
        <v>25</v>
      </c>
      <c r="C13" s="10">
        <v>50</v>
      </c>
      <c r="D13">
        <v>0.9</v>
      </c>
      <c r="E13">
        <v>0</v>
      </c>
      <c r="F13">
        <v>36</v>
      </c>
      <c r="G13">
        <f t="shared" si="2"/>
        <v>818.18181818181824</v>
      </c>
      <c r="H13">
        <v>0.2</v>
      </c>
      <c r="I13">
        <f t="shared" si="3"/>
        <v>5.5555555555555561E-8</v>
      </c>
      <c r="J13" s="10">
        <v>0</v>
      </c>
      <c r="K13">
        <v>1</v>
      </c>
      <c r="L13">
        <f t="shared" si="0"/>
        <v>4.6704545454545462E-5</v>
      </c>
      <c r="M13" s="11">
        <f t="shared" si="5"/>
        <v>46.70454545454546</v>
      </c>
      <c r="O13">
        <v>45</v>
      </c>
      <c r="P13">
        <f t="shared" si="1"/>
        <v>2.1017045454545459E-3</v>
      </c>
      <c r="Q13">
        <v>0.02</v>
      </c>
      <c r="R13" s="12">
        <f t="shared" si="4"/>
        <v>105085.22727272729</v>
      </c>
    </row>
    <row r="14" spans="2:18">
      <c r="B14" t="s">
        <v>26</v>
      </c>
      <c r="C14">
        <v>100</v>
      </c>
      <c r="D14">
        <v>0.9</v>
      </c>
      <c r="E14">
        <v>0</v>
      </c>
      <c r="F14">
        <v>36</v>
      </c>
      <c r="G14">
        <f t="shared" si="2"/>
        <v>818.18181818181824</v>
      </c>
      <c r="H14">
        <v>0.2</v>
      </c>
      <c r="I14">
        <f t="shared" si="3"/>
        <v>5.5555555555555561E-8</v>
      </c>
      <c r="J14">
        <v>0</v>
      </c>
      <c r="K14">
        <v>1</v>
      </c>
      <c r="L14">
        <f t="shared" si="0"/>
        <v>4.9204545454545462E-5</v>
      </c>
      <c r="M14" s="11">
        <f t="shared" si="5"/>
        <v>49.20454545454546</v>
      </c>
      <c r="O14">
        <v>45</v>
      </c>
      <c r="P14">
        <f t="shared" si="1"/>
        <v>2.2142045454545457E-3</v>
      </c>
      <c r="Q14">
        <v>0.02</v>
      </c>
      <c r="R14" s="12">
        <f t="shared" si="4"/>
        <v>110710.22727272728</v>
      </c>
    </row>
    <row r="15" spans="2:18">
      <c r="B15" t="s">
        <v>27</v>
      </c>
      <c r="C15">
        <v>25</v>
      </c>
      <c r="D15">
        <v>0</v>
      </c>
      <c r="E15">
        <v>0</v>
      </c>
      <c r="F15" s="10">
        <v>0</v>
      </c>
      <c r="G15">
        <f t="shared" si="2"/>
        <v>0</v>
      </c>
      <c r="H15">
        <v>0.2</v>
      </c>
      <c r="I15">
        <f t="shared" si="3"/>
        <v>5.5555555555555561E-8</v>
      </c>
      <c r="J15" s="10">
        <v>80</v>
      </c>
      <c r="K15">
        <v>1</v>
      </c>
      <c r="L15">
        <f t="shared" si="0"/>
        <v>8.0000000000000007E-5</v>
      </c>
      <c r="M15" s="11">
        <f t="shared" si="5"/>
        <v>80</v>
      </c>
      <c r="O15">
        <v>300</v>
      </c>
      <c r="P15">
        <f t="shared" si="1"/>
        <v>2.4E-2</v>
      </c>
      <c r="Q15">
        <v>0.02</v>
      </c>
      <c r="R15" s="12">
        <f t="shared" si="4"/>
        <v>1200000</v>
      </c>
    </row>
    <row r="16" spans="2:18">
      <c r="B16" t="s">
        <v>28</v>
      </c>
      <c r="C16">
        <v>25</v>
      </c>
      <c r="D16">
        <v>0</v>
      </c>
      <c r="E16">
        <v>0</v>
      </c>
      <c r="F16" s="10">
        <v>0</v>
      </c>
      <c r="G16">
        <f t="shared" si="2"/>
        <v>0</v>
      </c>
      <c r="H16">
        <v>0.2</v>
      </c>
      <c r="I16">
        <f t="shared" si="3"/>
        <v>5.5555555555555561E-8</v>
      </c>
      <c r="J16" s="10">
        <v>40</v>
      </c>
      <c r="K16">
        <v>1</v>
      </c>
      <c r="L16">
        <f t="shared" si="0"/>
        <v>4.0000000000000003E-5</v>
      </c>
      <c r="M16" s="11">
        <f t="shared" si="5"/>
        <v>40</v>
      </c>
      <c r="O16">
        <v>30</v>
      </c>
      <c r="P16">
        <f t="shared" si="1"/>
        <v>1.2000000000000001E-3</v>
      </c>
      <c r="Q16">
        <v>0.02</v>
      </c>
      <c r="R16" s="12">
        <f t="shared" si="4"/>
        <v>60000.000000000007</v>
      </c>
    </row>
    <row r="24" spans="16:17">
      <c r="P24">
        <v>4.6763888888888891E-4</v>
      </c>
      <c r="Q24">
        <v>467.63888888888891</v>
      </c>
    </row>
    <row r="25" spans="16:17">
      <c r="P25">
        <v>2.6530372474747481E-4</v>
      </c>
      <c r="Q25">
        <v>265.3037247474748</v>
      </c>
    </row>
    <row r="26" spans="16:17">
      <c r="P26">
        <v>2.8939393939393941E-4</v>
      </c>
      <c r="Q26">
        <v>289.39393939393943</v>
      </c>
    </row>
    <row r="27" spans="16:17">
      <c r="P27">
        <v>1.1675808080808082E-4</v>
      </c>
      <c r="Q27">
        <v>116.75808080808081</v>
      </c>
    </row>
    <row r="28" spans="16:17">
      <c r="P28">
        <v>1.8307323232323233E-4</v>
      </c>
      <c r="Q28">
        <v>183.07323232323233</v>
      </c>
    </row>
    <row r="29" spans="16:17">
      <c r="P29">
        <v>5.8762626262626268E-5</v>
      </c>
      <c r="Q29">
        <v>58.762626262626263</v>
      </c>
    </row>
    <row r="30" spans="16:17">
      <c r="P30">
        <v>6.2651515151515162E-5</v>
      </c>
      <c r="Q30">
        <v>62.651515151515163</v>
      </c>
    </row>
    <row r="31" spans="16:17">
      <c r="P31">
        <v>5.8068181818181828E-5</v>
      </c>
      <c r="Q31">
        <v>58.068181818181834</v>
      </c>
    </row>
    <row r="32" spans="16:17">
      <c r="P32">
        <v>6.0568181818181828E-5</v>
      </c>
      <c r="Q32">
        <v>60.568181818181827</v>
      </c>
    </row>
    <row r="33" spans="16:17">
      <c r="P33">
        <v>4.6704545454545462E-5</v>
      </c>
      <c r="Q33">
        <v>46.70454545454546</v>
      </c>
    </row>
    <row r="34" spans="16:17">
      <c r="P34">
        <v>4.9204545454545462E-5</v>
      </c>
      <c r="Q34">
        <v>49.20454545454546</v>
      </c>
    </row>
    <row r="35" spans="16:17">
      <c r="P35">
        <v>8.0000000000000007E-5</v>
      </c>
      <c r="Q35">
        <v>80</v>
      </c>
    </row>
    <row r="36" spans="16:17">
      <c r="P36">
        <v>4.0000000000000003E-5</v>
      </c>
      <c r="Q36">
        <v>40</v>
      </c>
    </row>
  </sheetData>
  <sheetProtection algorithmName="SHA-512" hashValue="OLRQODNtDu+qJaJSO81s+s02yZ7o+q2m7/SjPyc60f4vASFnvBBq1yYWjvIGcxOFqna3EKrmmfXhNHhj+9+URg==" saltValue="BfjfPkq2xM3qoFG0NNUDy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2:Z48"/>
  <sheetViews>
    <sheetView tabSelected="1" workbookViewId="0">
      <selection activeCell="C11" sqref="C11:F11"/>
    </sheetView>
  </sheetViews>
  <sheetFormatPr defaultRowHeight="15"/>
  <cols>
    <col min="1" max="1" width="3" style="1" customWidth="1"/>
    <col min="2" max="2" width="27.7109375" style="1" customWidth="1"/>
    <col min="3" max="3" width="12.85546875" style="1" customWidth="1"/>
    <col min="4" max="4" width="11.7109375" style="1" customWidth="1"/>
    <col min="5" max="7" width="11.140625" style="1" customWidth="1"/>
    <col min="8" max="8" width="9.140625" style="1"/>
    <col min="9" max="9" width="10.7109375" style="1" customWidth="1"/>
    <col min="10" max="11" width="9.140625" style="1"/>
    <col min="12" max="12" width="12.5703125" style="1" bestFit="1" customWidth="1"/>
    <col min="13" max="13" width="4" style="1" customWidth="1"/>
    <col min="14" max="14" width="2.140625" style="24" customWidth="1"/>
    <col min="15" max="15" width="2.140625" style="1" customWidth="1"/>
    <col min="16" max="16" width="30" style="1" customWidth="1"/>
    <col min="17" max="17" width="15.85546875" style="1" customWidth="1"/>
    <col min="18" max="18" width="14" style="1" customWidth="1"/>
    <col min="19" max="22" width="9.140625" style="1"/>
    <col min="23" max="23" width="11.42578125" style="1" customWidth="1"/>
    <col min="24" max="25" width="9.140625" style="1"/>
    <col min="26" max="26" width="13.140625" style="1" customWidth="1"/>
    <col min="27" max="16384" width="9.140625" style="1"/>
  </cols>
  <sheetData>
    <row r="2" spans="2:26" ht="44.25" customHeight="1">
      <c r="C2" s="13" t="s">
        <v>29</v>
      </c>
      <c r="D2" s="14"/>
      <c r="E2" s="14"/>
      <c r="F2" s="14"/>
      <c r="G2" s="14"/>
      <c r="H2" s="14"/>
      <c r="I2" s="14"/>
      <c r="J2" s="14"/>
      <c r="K2" s="14"/>
      <c r="L2" s="14"/>
      <c r="Q2" s="13" t="s">
        <v>30</v>
      </c>
      <c r="R2" s="14"/>
      <c r="S2" s="14"/>
      <c r="T2" s="14"/>
      <c r="U2" s="14"/>
      <c r="V2" s="14"/>
      <c r="W2" s="14"/>
      <c r="X2" s="14"/>
      <c r="Y2" s="14"/>
      <c r="Z2" s="14"/>
    </row>
    <row r="3" spans="2:26" ht="16.5" customHeight="1" thickBot="1">
      <c r="C3" s="15"/>
      <c r="Q3" s="15"/>
    </row>
    <row r="4" spans="2:26" ht="16.5" customHeight="1">
      <c r="B4" s="2" t="s">
        <v>31</v>
      </c>
      <c r="C4" s="53" t="s">
        <v>32</v>
      </c>
      <c r="D4" s="54"/>
      <c r="E4" s="54"/>
      <c r="F4" s="54"/>
      <c r="G4" s="55"/>
      <c r="I4" s="28" t="s">
        <v>33</v>
      </c>
      <c r="J4" s="29" t="s">
        <v>34</v>
      </c>
      <c r="K4" s="29" t="s">
        <v>35</v>
      </c>
      <c r="L4" s="30" t="s">
        <v>36</v>
      </c>
      <c r="P4" s="2" t="s">
        <v>31</v>
      </c>
      <c r="Q4" s="53" t="s">
        <v>37</v>
      </c>
      <c r="R4" s="54"/>
      <c r="S4" s="54"/>
      <c r="T4" s="54"/>
      <c r="U4" s="55"/>
      <c r="W4" s="28" t="s">
        <v>33</v>
      </c>
      <c r="X4" s="29" t="s">
        <v>34</v>
      </c>
      <c r="Y4" s="29" t="s">
        <v>35</v>
      </c>
      <c r="Z4" s="30" t="s">
        <v>36</v>
      </c>
    </row>
    <row r="5" spans="2:26" ht="15.75" thickBot="1">
      <c r="B5" s="2" t="s">
        <v>38</v>
      </c>
      <c r="C5" s="50" t="s">
        <v>39</v>
      </c>
      <c r="D5" s="51"/>
      <c r="E5" s="51"/>
      <c r="F5" s="51"/>
      <c r="G5" s="52"/>
      <c r="I5" s="31" t="s">
        <v>40</v>
      </c>
      <c r="J5" s="16" t="str">
        <f>IF(D36&gt;R36,"W","L")</f>
        <v>W</v>
      </c>
      <c r="K5" s="16">
        <v>30</v>
      </c>
      <c r="L5" s="32">
        <f>IF(J5="W",K5,0)</f>
        <v>30</v>
      </c>
      <c r="P5" s="2" t="s">
        <v>38</v>
      </c>
      <c r="Q5" s="50" t="s">
        <v>41</v>
      </c>
      <c r="R5" s="51"/>
      <c r="S5" s="51"/>
      <c r="T5" s="51"/>
      <c r="U5" s="52"/>
      <c r="W5" s="31" t="s">
        <v>40</v>
      </c>
      <c r="X5" s="16" t="str">
        <f>IF(R36&gt;D36,"W","L")</f>
        <v>L</v>
      </c>
      <c r="Y5" s="16">
        <v>30</v>
      </c>
      <c r="Z5" s="32">
        <f>IF(X5="W",Y5,0)</f>
        <v>0</v>
      </c>
    </row>
    <row r="6" spans="2:26" ht="15.75" thickBot="1">
      <c r="I6" s="31" t="s">
        <v>42</v>
      </c>
      <c r="J6" s="16" t="str">
        <f>IF(D37&gt;R37,"W","L")</f>
        <v>W</v>
      </c>
      <c r="K6" s="16">
        <v>30</v>
      </c>
      <c r="L6" s="32">
        <f t="shared" ref="L6:L10" si="0">IF(J6="W",K6,0)</f>
        <v>30</v>
      </c>
      <c r="W6" s="31" t="s">
        <v>42</v>
      </c>
      <c r="X6" s="16" t="str">
        <f>IF(R37&gt;D37,"W","L")</f>
        <v>L</v>
      </c>
      <c r="Y6" s="16">
        <v>30</v>
      </c>
      <c r="Z6" s="32">
        <f t="shared" ref="Z6:Z10" si="1">IF(X6="W",Y6,0)</f>
        <v>0</v>
      </c>
    </row>
    <row r="7" spans="2:26">
      <c r="B7" s="2" t="s">
        <v>43</v>
      </c>
      <c r="C7" s="53">
        <v>4.8</v>
      </c>
      <c r="D7" s="54"/>
      <c r="E7" s="54"/>
      <c r="F7" s="55"/>
      <c r="I7" s="31" t="s">
        <v>44</v>
      </c>
      <c r="J7" s="16" t="str">
        <f>IF(D38&gt;R38,"W","L")</f>
        <v>L</v>
      </c>
      <c r="K7" s="16">
        <v>30</v>
      </c>
      <c r="L7" s="32">
        <f t="shared" si="0"/>
        <v>0</v>
      </c>
      <c r="P7" s="2" t="s">
        <v>43</v>
      </c>
      <c r="Q7" s="53">
        <v>3.9</v>
      </c>
      <c r="R7" s="54"/>
      <c r="S7" s="54"/>
      <c r="T7" s="55"/>
      <c r="W7" s="31" t="s">
        <v>44</v>
      </c>
      <c r="X7" s="16" t="str">
        <f>IF(R38&gt;D38,"W","L")</f>
        <v>W</v>
      </c>
      <c r="Y7" s="16">
        <v>30</v>
      </c>
      <c r="Z7" s="32">
        <f t="shared" si="1"/>
        <v>30</v>
      </c>
    </row>
    <row r="8" spans="2:26">
      <c r="B8" s="2" t="s">
        <v>45</v>
      </c>
      <c r="C8" s="56">
        <v>4.9000000000000004</v>
      </c>
      <c r="D8" s="57"/>
      <c r="E8" s="57"/>
      <c r="F8" s="58"/>
      <c r="I8" s="31" t="s">
        <v>46</v>
      </c>
      <c r="J8" s="16" t="str">
        <f>IF(C48&lt;Q48,"W","L")</f>
        <v>L</v>
      </c>
      <c r="K8" s="16">
        <v>120</v>
      </c>
      <c r="L8" s="32">
        <f t="shared" si="0"/>
        <v>0</v>
      </c>
      <c r="P8" s="2" t="s">
        <v>45</v>
      </c>
      <c r="Q8" s="56">
        <v>3.95</v>
      </c>
      <c r="R8" s="57"/>
      <c r="S8" s="57"/>
      <c r="T8" s="58"/>
      <c r="W8" s="31" t="s">
        <v>46</v>
      </c>
      <c r="X8" s="16" t="str">
        <f>IF(Q48&lt;C48,"W","L")</f>
        <v>W</v>
      </c>
      <c r="Y8" s="16">
        <v>120</v>
      </c>
      <c r="Z8" s="32">
        <f t="shared" si="1"/>
        <v>120</v>
      </c>
    </row>
    <row r="9" spans="2:26">
      <c r="B9" s="2" t="s">
        <v>47</v>
      </c>
      <c r="C9" s="56">
        <v>1200</v>
      </c>
      <c r="D9" s="57"/>
      <c r="E9" s="57"/>
      <c r="F9" s="58"/>
      <c r="I9" s="31" t="s">
        <v>48</v>
      </c>
      <c r="J9" s="16" t="str">
        <f>IF(C28="No","W","L")</f>
        <v>W</v>
      </c>
      <c r="K9" s="16">
        <v>20</v>
      </c>
      <c r="L9" s="32">
        <f t="shared" si="0"/>
        <v>20</v>
      </c>
      <c r="P9" s="2" t="s">
        <v>47</v>
      </c>
      <c r="Q9" s="56">
        <v>800</v>
      </c>
      <c r="R9" s="57"/>
      <c r="S9" s="57"/>
      <c r="T9" s="58"/>
      <c r="W9" s="31" t="s">
        <v>48</v>
      </c>
      <c r="X9" s="16" t="str">
        <f>IF(Q28="No","W","L")</f>
        <v>L</v>
      </c>
      <c r="Y9" s="16">
        <v>20</v>
      </c>
      <c r="Z9" s="32">
        <f t="shared" si="1"/>
        <v>0</v>
      </c>
    </row>
    <row r="10" spans="2:26">
      <c r="B10" s="2" t="s">
        <v>49</v>
      </c>
      <c r="C10" s="56">
        <v>10</v>
      </c>
      <c r="D10" s="57"/>
      <c r="E10" s="57"/>
      <c r="F10" s="58"/>
      <c r="I10" s="31" t="s">
        <v>50</v>
      </c>
      <c r="J10" s="16" t="str">
        <f>IF(C29="Yes","W","L")</f>
        <v>W</v>
      </c>
      <c r="K10" s="27">
        <v>20</v>
      </c>
      <c r="L10" s="33">
        <f t="shared" si="0"/>
        <v>20</v>
      </c>
      <c r="P10" s="2" t="s">
        <v>49</v>
      </c>
      <c r="Q10" s="56">
        <v>6.5</v>
      </c>
      <c r="R10" s="57"/>
      <c r="S10" s="57"/>
      <c r="T10" s="58"/>
      <c r="W10" s="31" t="s">
        <v>50</v>
      </c>
      <c r="X10" s="16" t="str">
        <f>IF(Q29="Yes","W","L")</f>
        <v>L</v>
      </c>
      <c r="Y10" s="27">
        <v>20</v>
      </c>
      <c r="Z10" s="33">
        <f t="shared" si="1"/>
        <v>0</v>
      </c>
    </row>
    <row r="11" spans="2:26" ht="15.75" thickBot="1">
      <c r="B11" s="2" t="s">
        <v>51</v>
      </c>
      <c r="C11" s="50" t="s">
        <v>24</v>
      </c>
      <c r="D11" s="51"/>
      <c r="E11" s="51"/>
      <c r="F11" s="52"/>
      <c r="I11" s="34"/>
      <c r="K11" s="2" t="s">
        <v>52</v>
      </c>
      <c r="L11" s="35">
        <f>SUM(L5:L10)</f>
        <v>100</v>
      </c>
      <c r="P11" s="2" t="s">
        <v>51</v>
      </c>
      <c r="Q11" s="50" t="s">
        <v>21</v>
      </c>
      <c r="R11" s="51"/>
      <c r="S11" s="51"/>
      <c r="T11" s="52"/>
      <c r="W11" s="34"/>
      <c r="Y11" s="2" t="s">
        <v>52</v>
      </c>
      <c r="Z11" s="35">
        <f>SUM(Z5:Z10)</f>
        <v>150</v>
      </c>
    </row>
    <row r="12" spans="2:26">
      <c r="B12" s="2"/>
      <c r="I12" s="34"/>
      <c r="L12" s="36"/>
      <c r="P12" s="2"/>
      <c r="W12" s="34"/>
      <c r="Z12" s="36"/>
    </row>
    <row r="13" spans="2:26">
      <c r="B13" s="2" t="s">
        <v>53</v>
      </c>
      <c r="C13" s="1">
        <f>(C8-C7)*1000</f>
        <v>100.00000000000054</v>
      </c>
      <c r="I13" s="37" t="s">
        <v>54</v>
      </c>
      <c r="J13" s="14"/>
      <c r="K13" s="14"/>
      <c r="L13" s="38">
        <f>C48</f>
        <v>126008.42799099348</v>
      </c>
      <c r="P13" s="2" t="s">
        <v>53</v>
      </c>
      <c r="Q13" s="1">
        <f>(Q8-Q7)*1000</f>
        <v>50.00000000000027</v>
      </c>
      <c r="W13" s="37" t="s">
        <v>54</v>
      </c>
      <c r="X13" s="14"/>
      <c r="Y13" s="14"/>
      <c r="Z13" s="38">
        <f>Q48</f>
        <v>106439.92581617799</v>
      </c>
    </row>
    <row r="15" spans="2:26" ht="15.75" thickBot="1">
      <c r="B15" s="2" t="s">
        <v>55</v>
      </c>
      <c r="C15" s="17">
        <v>1</v>
      </c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17">
        <v>8</v>
      </c>
      <c r="K15" s="17">
        <v>9</v>
      </c>
      <c r="L15" s="17">
        <v>10</v>
      </c>
      <c r="M15" s="17"/>
      <c r="N15" s="25"/>
      <c r="O15" s="17"/>
      <c r="P15" s="2" t="s">
        <v>55</v>
      </c>
      <c r="Q15" s="17">
        <v>1</v>
      </c>
      <c r="R15" s="17">
        <v>2</v>
      </c>
      <c r="S15" s="17">
        <v>3</v>
      </c>
      <c r="T15" s="17">
        <v>4</v>
      </c>
      <c r="U15" s="17">
        <v>5</v>
      </c>
      <c r="V15" s="17">
        <v>6</v>
      </c>
      <c r="W15" s="17">
        <v>7</v>
      </c>
      <c r="X15" s="17">
        <v>8</v>
      </c>
      <c r="Y15" s="17">
        <v>9</v>
      </c>
      <c r="Z15" s="17">
        <v>10</v>
      </c>
    </row>
    <row r="16" spans="2:26">
      <c r="B16" s="2" t="s">
        <v>56</v>
      </c>
      <c r="C16" s="39">
        <v>700</v>
      </c>
      <c r="D16" s="40">
        <v>700</v>
      </c>
      <c r="E16" s="40">
        <v>700</v>
      </c>
      <c r="F16" s="40">
        <v>700</v>
      </c>
      <c r="G16" s="40">
        <v>700</v>
      </c>
      <c r="H16" s="40">
        <v>700</v>
      </c>
      <c r="I16" s="40">
        <v>700</v>
      </c>
      <c r="J16" s="40">
        <v>700</v>
      </c>
      <c r="K16" s="40">
        <v>700</v>
      </c>
      <c r="L16" s="41">
        <v>700</v>
      </c>
      <c r="M16" s="16"/>
      <c r="N16" s="26"/>
      <c r="O16" s="16"/>
      <c r="P16" s="2" t="s">
        <v>56</v>
      </c>
      <c r="Q16" s="39">
        <v>700</v>
      </c>
      <c r="R16" s="40">
        <v>700</v>
      </c>
      <c r="S16" s="40">
        <v>700</v>
      </c>
      <c r="T16" s="40">
        <v>700</v>
      </c>
      <c r="U16" s="40">
        <v>700</v>
      </c>
      <c r="V16" s="40">
        <v>700</v>
      </c>
      <c r="W16" s="40">
        <v>700</v>
      </c>
      <c r="X16" s="40">
        <v>700</v>
      </c>
      <c r="Y16" s="40">
        <v>700</v>
      </c>
      <c r="Z16" s="41">
        <v>700</v>
      </c>
    </row>
    <row r="17" spans="2:26">
      <c r="B17" s="2" t="s">
        <v>57</v>
      </c>
      <c r="C17" s="4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4">
        <v>0</v>
      </c>
      <c r="M17" s="16"/>
      <c r="N17" s="26"/>
      <c r="O17" s="16"/>
      <c r="P17" s="2" t="s">
        <v>57</v>
      </c>
      <c r="Q17" s="42">
        <v>200</v>
      </c>
      <c r="R17" s="43">
        <v>200</v>
      </c>
      <c r="S17" s="43">
        <v>200</v>
      </c>
      <c r="T17" s="43">
        <v>200</v>
      </c>
      <c r="U17" s="43">
        <v>200</v>
      </c>
      <c r="V17" s="43">
        <v>200</v>
      </c>
      <c r="W17" s="43">
        <v>200</v>
      </c>
      <c r="X17" s="43">
        <v>200</v>
      </c>
      <c r="Y17" s="43">
        <v>200</v>
      </c>
      <c r="Z17" s="44">
        <v>200</v>
      </c>
    </row>
    <row r="18" spans="2:26">
      <c r="B18" s="2" t="s">
        <v>58</v>
      </c>
      <c r="C18" s="42">
        <v>1.5</v>
      </c>
      <c r="D18" s="43">
        <v>1.5</v>
      </c>
      <c r="E18" s="43">
        <v>1.5</v>
      </c>
      <c r="F18" s="43">
        <v>1.5</v>
      </c>
      <c r="G18" s="43">
        <v>1.5</v>
      </c>
      <c r="H18" s="43">
        <v>1.5</v>
      </c>
      <c r="I18" s="43">
        <v>1.5</v>
      </c>
      <c r="J18" s="43">
        <v>1.5</v>
      </c>
      <c r="K18" s="43">
        <v>1.5</v>
      </c>
      <c r="L18" s="44">
        <v>1.5</v>
      </c>
      <c r="M18" s="16"/>
      <c r="N18" s="26"/>
      <c r="O18" s="16"/>
      <c r="P18" s="2" t="s">
        <v>58</v>
      </c>
      <c r="Q18" s="42">
        <v>1.1000000000000001</v>
      </c>
      <c r="R18" s="43">
        <v>1.5</v>
      </c>
      <c r="S18" s="43">
        <v>1.3</v>
      </c>
      <c r="T18" s="43">
        <v>1.5</v>
      </c>
      <c r="U18" s="43">
        <v>1.5</v>
      </c>
      <c r="V18" s="43">
        <v>1.6</v>
      </c>
      <c r="W18" s="43">
        <v>1.5</v>
      </c>
      <c r="X18" s="43">
        <v>1</v>
      </c>
      <c r="Y18" s="43">
        <v>1.4</v>
      </c>
      <c r="Z18" s="44">
        <v>1.4</v>
      </c>
    </row>
    <row r="19" spans="2:26" ht="15.75" thickBot="1">
      <c r="B19" s="2" t="s">
        <v>59</v>
      </c>
      <c r="C19" s="45">
        <v>0.5</v>
      </c>
      <c r="D19" s="46">
        <v>1</v>
      </c>
      <c r="E19" s="46">
        <v>1.5</v>
      </c>
      <c r="F19" s="46">
        <v>2</v>
      </c>
      <c r="G19" s="46">
        <v>2.6</v>
      </c>
      <c r="H19" s="46">
        <v>3.2</v>
      </c>
      <c r="I19" s="46">
        <v>4</v>
      </c>
      <c r="J19" s="46">
        <v>4.5999999999999996</v>
      </c>
      <c r="K19" s="46">
        <v>5</v>
      </c>
      <c r="L19" s="47">
        <v>5.4</v>
      </c>
      <c r="M19" s="16"/>
      <c r="N19" s="26"/>
      <c r="O19" s="16"/>
      <c r="P19" s="2" t="s">
        <v>59</v>
      </c>
      <c r="Q19" s="45">
        <v>0.2</v>
      </c>
      <c r="R19" s="46">
        <v>0.4</v>
      </c>
      <c r="S19" s="46">
        <v>0.7</v>
      </c>
      <c r="T19" s="46">
        <v>0.8</v>
      </c>
      <c r="U19" s="46">
        <v>1.2</v>
      </c>
      <c r="V19" s="46">
        <v>1.4</v>
      </c>
      <c r="W19" s="46">
        <v>1.8</v>
      </c>
      <c r="X19" s="46">
        <v>2.2000000000000002</v>
      </c>
      <c r="Y19" s="46">
        <v>2.4</v>
      </c>
      <c r="Z19" s="47">
        <v>2.7</v>
      </c>
    </row>
    <row r="20" spans="2:26">
      <c r="B20" s="2"/>
      <c r="P20" s="2"/>
    </row>
    <row r="21" spans="2:26">
      <c r="B21" s="2" t="s">
        <v>60</v>
      </c>
      <c r="C21" s="16">
        <f t="shared" ref="C21:L21" si="2">C16-C17</f>
        <v>700</v>
      </c>
      <c r="D21" s="16">
        <f t="shared" si="2"/>
        <v>700</v>
      </c>
      <c r="E21" s="16">
        <f t="shared" si="2"/>
        <v>700</v>
      </c>
      <c r="F21" s="16">
        <f t="shared" si="2"/>
        <v>700</v>
      </c>
      <c r="G21" s="16">
        <f t="shared" si="2"/>
        <v>700</v>
      </c>
      <c r="H21" s="16">
        <f t="shared" si="2"/>
        <v>700</v>
      </c>
      <c r="I21" s="16">
        <f t="shared" si="2"/>
        <v>700</v>
      </c>
      <c r="J21" s="16">
        <f t="shared" si="2"/>
        <v>700</v>
      </c>
      <c r="K21" s="16">
        <f t="shared" si="2"/>
        <v>700</v>
      </c>
      <c r="L21" s="16">
        <f t="shared" si="2"/>
        <v>700</v>
      </c>
      <c r="M21" s="16"/>
      <c r="N21" s="26"/>
      <c r="O21" s="16"/>
      <c r="P21" s="2" t="s">
        <v>60</v>
      </c>
      <c r="Q21" s="16">
        <f t="shared" ref="Q21:Z21" si="3">Q16-Q17</f>
        <v>500</v>
      </c>
      <c r="R21" s="16">
        <f t="shared" si="3"/>
        <v>500</v>
      </c>
      <c r="S21" s="16">
        <f t="shared" si="3"/>
        <v>500</v>
      </c>
      <c r="T21" s="16">
        <f t="shared" si="3"/>
        <v>500</v>
      </c>
      <c r="U21" s="16">
        <f t="shared" si="3"/>
        <v>500</v>
      </c>
      <c r="V21" s="16">
        <f t="shared" si="3"/>
        <v>500</v>
      </c>
      <c r="W21" s="16">
        <f t="shared" si="3"/>
        <v>500</v>
      </c>
      <c r="X21" s="16">
        <f t="shared" si="3"/>
        <v>500</v>
      </c>
      <c r="Y21" s="16">
        <f t="shared" si="3"/>
        <v>500</v>
      </c>
      <c r="Z21" s="16">
        <f t="shared" si="3"/>
        <v>500</v>
      </c>
    </row>
    <row r="22" spans="2:26">
      <c r="B22" s="2" t="s">
        <v>61</v>
      </c>
      <c r="C22" s="16">
        <f>C21*C18/1000000*1000</f>
        <v>1.05</v>
      </c>
      <c r="D22" s="16">
        <f t="shared" ref="D22:L22" si="4">D21*D18/1000000*1000</f>
        <v>1.05</v>
      </c>
      <c r="E22" s="16">
        <f t="shared" si="4"/>
        <v>1.05</v>
      </c>
      <c r="F22" s="16">
        <f t="shared" si="4"/>
        <v>1.05</v>
      </c>
      <c r="G22" s="16">
        <f t="shared" si="4"/>
        <v>1.05</v>
      </c>
      <c r="H22" s="16">
        <f t="shared" si="4"/>
        <v>1.05</v>
      </c>
      <c r="I22" s="16">
        <f t="shared" si="4"/>
        <v>1.05</v>
      </c>
      <c r="J22" s="16">
        <f t="shared" si="4"/>
        <v>1.05</v>
      </c>
      <c r="K22" s="16">
        <f t="shared" si="4"/>
        <v>1.05</v>
      </c>
      <c r="L22" s="16">
        <f t="shared" si="4"/>
        <v>1.05</v>
      </c>
      <c r="M22" s="16"/>
      <c r="N22" s="26"/>
      <c r="O22" s="16"/>
      <c r="P22" s="2" t="s">
        <v>61</v>
      </c>
      <c r="Q22" s="16">
        <f>Q21*Q18/1000000*1000</f>
        <v>0.55000000000000004</v>
      </c>
      <c r="R22" s="16">
        <f t="shared" ref="R22:Z22" si="5">R21*R18/1000000*1000</f>
        <v>0.75</v>
      </c>
      <c r="S22" s="16">
        <f t="shared" si="5"/>
        <v>0.65</v>
      </c>
      <c r="T22" s="16">
        <f t="shared" si="5"/>
        <v>0.75</v>
      </c>
      <c r="U22" s="16">
        <f t="shared" si="5"/>
        <v>0.75</v>
      </c>
      <c r="V22" s="16">
        <f t="shared" si="5"/>
        <v>0.8</v>
      </c>
      <c r="W22" s="16">
        <f t="shared" si="5"/>
        <v>0.75</v>
      </c>
      <c r="X22" s="16">
        <f t="shared" si="5"/>
        <v>0.5</v>
      </c>
      <c r="Y22" s="16">
        <f t="shared" si="5"/>
        <v>0.7</v>
      </c>
      <c r="Z22" s="16">
        <f t="shared" si="5"/>
        <v>0.7</v>
      </c>
    </row>
    <row r="23" spans="2:26">
      <c r="B23" s="2"/>
      <c r="P23" s="2"/>
    </row>
    <row r="24" spans="2:26">
      <c r="B24" s="2" t="s">
        <v>62</v>
      </c>
      <c r="C24" s="3">
        <f>SUM(C22:L22)</f>
        <v>10.500000000000002</v>
      </c>
      <c r="P24" s="2" t="s">
        <v>62</v>
      </c>
      <c r="Q24" s="3">
        <f>SUM(Q22:Z22)</f>
        <v>6.9</v>
      </c>
    </row>
    <row r="25" spans="2:26">
      <c r="B25" s="2" t="s">
        <v>63</v>
      </c>
      <c r="C25" s="5">
        <f>C24/1000/22.4*44</f>
        <v>2.0625000000000008E-2</v>
      </c>
      <c r="P25" s="2" t="s">
        <v>63</v>
      </c>
      <c r="Q25" s="5">
        <f>Q24/1000/22.4*44</f>
        <v>1.3553571428571432E-2</v>
      </c>
    </row>
    <row r="26" spans="2:26">
      <c r="B26" s="2" t="s">
        <v>64</v>
      </c>
      <c r="C26" s="3">
        <f>L19</f>
        <v>5.4</v>
      </c>
      <c r="P26" s="2" t="s">
        <v>64</v>
      </c>
      <c r="Q26" s="3">
        <f>Z19</f>
        <v>2.7</v>
      </c>
    </row>
    <row r="27" spans="2:26" ht="15.75" thickBot="1">
      <c r="B27" s="2"/>
      <c r="C27" s="3"/>
      <c r="P27" s="2"/>
      <c r="Q27" s="3"/>
    </row>
    <row r="28" spans="2:26">
      <c r="B28" s="2" t="s">
        <v>65</v>
      </c>
      <c r="C28" s="48" t="s">
        <v>66</v>
      </c>
      <c r="P28" s="2" t="s">
        <v>65</v>
      </c>
      <c r="Q28" s="48" t="s">
        <v>67</v>
      </c>
    </row>
    <row r="29" spans="2:26" ht="15.75" thickBot="1">
      <c r="B29" s="2" t="s">
        <v>68</v>
      </c>
      <c r="C29" s="49" t="s">
        <v>67</v>
      </c>
      <c r="P29" s="2" t="s">
        <v>68</v>
      </c>
      <c r="Q29" s="49" t="s">
        <v>66</v>
      </c>
    </row>
    <row r="30" spans="2:26">
      <c r="B30" s="2"/>
      <c r="P30" s="2"/>
    </row>
    <row r="31" spans="2:26">
      <c r="B31" s="2" t="s">
        <v>69</v>
      </c>
      <c r="C31" s="18">
        <f>INDEX('Regeneration Costs'!$M$4:$M$16,MATCH('Duel Calculator'!C11:F11,'Regeneration Costs'!$B$4:$B$16,0))</f>
        <v>60.568181818181827</v>
      </c>
      <c r="P31" s="2" t="s">
        <v>69</v>
      </c>
      <c r="Q31" s="18">
        <f>INDEX('Regeneration Costs'!$M$4:$M$16,MATCH('Duel Calculator'!Q11:T11,'Regeneration Costs'!$B$4:$B$16,0))</f>
        <v>58.762626262626263</v>
      </c>
    </row>
    <row r="32" spans="2:26">
      <c r="B32" s="2" t="s">
        <v>70</v>
      </c>
      <c r="C32" s="1">
        <f>C31/1000/1000</f>
        <v>6.0568181818181828E-5</v>
      </c>
      <c r="P32" s="2" t="s">
        <v>70</v>
      </c>
      <c r="Q32" s="1">
        <f>Q31/1000/1000</f>
        <v>5.8762626262626268E-5</v>
      </c>
    </row>
    <row r="33" spans="2:18">
      <c r="B33" s="2" t="s">
        <v>71</v>
      </c>
      <c r="C33" s="1">
        <f>C32*C13</f>
        <v>6.0568181818182153E-3</v>
      </c>
      <c r="P33" s="2" t="s">
        <v>71</v>
      </c>
      <c r="Q33" s="1">
        <f>Q32*Q13</f>
        <v>2.9381313131313291E-3</v>
      </c>
    </row>
    <row r="34" spans="2:18">
      <c r="B34" s="2"/>
      <c r="P34" s="2"/>
    </row>
    <row r="35" spans="2:18">
      <c r="B35" s="2"/>
      <c r="C35" s="20" t="s">
        <v>72</v>
      </c>
      <c r="D35" s="20" t="s">
        <v>73</v>
      </c>
      <c r="P35" s="2"/>
      <c r="Q35" s="20" t="s">
        <v>72</v>
      </c>
      <c r="R35" s="20" t="s">
        <v>73</v>
      </c>
    </row>
    <row r="36" spans="2:18">
      <c r="B36" s="2" t="s">
        <v>74</v>
      </c>
      <c r="C36" s="21">
        <f>C24/C8</f>
        <v>2.1428571428571432</v>
      </c>
      <c r="D36" s="22">
        <f>C36*C41</f>
        <v>2.0408163265306123</v>
      </c>
      <c r="P36" s="2" t="s">
        <v>74</v>
      </c>
      <c r="Q36" s="21">
        <f>Q24/Q8</f>
        <v>1.7468354430379747</v>
      </c>
      <c r="R36" s="22">
        <f>Q36*Q41</f>
        <v>1.6455696202531644</v>
      </c>
    </row>
    <row r="37" spans="2:18">
      <c r="B37" s="2" t="s">
        <v>75</v>
      </c>
      <c r="C37" s="21">
        <f>C24/C9</f>
        <v>8.7500000000000008E-3</v>
      </c>
      <c r="D37" s="22">
        <f>C37*C41</f>
        <v>8.3333333333333332E-3</v>
      </c>
      <c r="P37" s="2" t="s">
        <v>75</v>
      </c>
      <c r="Q37" s="21">
        <f>Q24/Q9</f>
        <v>8.6250000000000007E-3</v>
      </c>
      <c r="R37" s="22">
        <f>Q37*Q41</f>
        <v>8.1250000000000003E-3</v>
      </c>
    </row>
    <row r="38" spans="2:18">
      <c r="B38" s="2" t="s">
        <v>76</v>
      </c>
      <c r="C38" s="21">
        <f>C24/C26</f>
        <v>1.9444444444444446</v>
      </c>
      <c r="D38" s="22">
        <f>C38*C41</f>
        <v>1.8518518518518516</v>
      </c>
      <c r="P38" s="2" t="s">
        <v>76</v>
      </c>
      <c r="Q38" s="21">
        <f>Q24/Q26</f>
        <v>2.5555555555555554</v>
      </c>
      <c r="R38" s="22">
        <f>Q38*Q41</f>
        <v>2.407407407407407</v>
      </c>
    </row>
    <row r="39" spans="2:18">
      <c r="B39" s="2"/>
      <c r="P39" s="2"/>
    </row>
    <row r="40" spans="2:18">
      <c r="B40" s="2" t="s">
        <v>77</v>
      </c>
      <c r="C40" s="4">
        <f>(C24-C10)/MAX(C10,C24)</f>
        <v>4.7619047619047783E-2</v>
      </c>
      <c r="P40" s="2" t="s">
        <v>77</v>
      </c>
      <c r="Q40" s="4">
        <f>(Q24-Q10)/MAX(Q10,Q24)</f>
        <v>5.7971014492753672E-2</v>
      </c>
    </row>
    <row r="41" spans="2:18">
      <c r="B41" s="2" t="s">
        <v>78</v>
      </c>
      <c r="C41" s="19">
        <f>1-ABS(C40)</f>
        <v>0.95238095238095222</v>
      </c>
      <c r="P41" s="2" t="s">
        <v>78</v>
      </c>
      <c r="Q41" s="19">
        <f>1-ABS(Q40)</f>
        <v>0.94202898550724634</v>
      </c>
    </row>
    <row r="42" spans="2:18">
      <c r="B42" s="2"/>
      <c r="P42" s="2"/>
    </row>
    <row r="43" spans="2:18">
      <c r="B43" s="2" t="s">
        <v>79</v>
      </c>
      <c r="C43" s="1">
        <v>25</v>
      </c>
      <c r="P43" s="2" t="s">
        <v>79</v>
      </c>
      <c r="Q43" s="1">
        <v>25</v>
      </c>
    </row>
    <row r="44" spans="2:18">
      <c r="B44" s="2" t="s">
        <v>80</v>
      </c>
      <c r="C44" s="1">
        <v>0.2</v>
      </c>
      <c r="P44" s="2" t="s">
        <v>80</v>
      </c>
      <c r="Q44" s="1">
        <v>0.2</v>
      </c>
    </row>
    <row r="45" spans="2:18">
      <c r="B45" s="2" t="s">
        <v>81</v>
      </c>
      <c r="C45" s="1">
        <v>0.1</v>
      </c>
      <c r="P45" s="2" t="s">
        <v>81</v>
      </c>
      <c r="Q45" s="1">
        <v>0.1</v>
      </c>
    </row>
    <row r="46" spans="2:18">
      <c r="B46" s="2"/>
      <c r="P46" s="2"/>
    </row>
    <row r="47" spans="2:18">
      <c r="B47" s="2" t="s">
        <v>82</v>
      </c>
      <c r="C47" s="3">
        <f>(C9/C43/144/365+C26/1000*C44+C33*C45)/C25</f>
        <v>0.12600842799099349</v>
      </c>
      <c r="P47" s="2" t="s">
        <v>82</v>
      </c>
      <c r="Q47" s="3">
        <f>(Q9/Q43/144/365+Q26/1000*Q44+Q33*Q45)/Q25</f>
        <v>0.10643992581617799</v>
      </c>
    </row>
    <row r="48" spans="2:18">
      <c r="B48" s="2" t="s">
        <v>83</v>
      </c>
      <c r="C48" s="23">
        <f>C47*1000*1000</f>
        <v>126008.42799099348</v>
      </c>
      <c r="P48" s="2" t="s">
        <v>83</v>
      </c>
      <c r="Q48" s="23">
        <f>Q47*1000*1000</f>
        <v>106439.92581617799</v>
      </c>
    </row>
  </sheetData>
  <sheetProtection algorithmName="SHA-512" hashValue="ij5mbyrmiw9/Gouz7Exe10qDps7hExjVAGj50blrX+NnZxq/7ccm1Y1IJCVqQn4L2O8iPzf3AEBTQ0Q9q6O1UA==" saltValue="ylpj04xCovQ9jVt2mb0z+g==" spinCount="100000" sheet="1" objects="1" scenarios="1" selectLockedCells="1"/>
  <mergeCells count="14">
    <mergeCell ref="C11:F11"/>
    <mergeCell ref="Q4:U4"/>
    <mergeCell ref="Q5:U5"/>
    <mergeCell ref="Q7:T7"/>
    <mergeCell ref="Q8:T8"/>
    <mergeCell ref="Q9:T9"/>
    <mergeCell ref="Q10:T10"/>
    <mergeCell ref="Q11:T11"/>
    <mergeCell ref="C4:G4"/>
    <mergeCell ref="C5:G5"/>
    <mergeCell ref="C7:F7"/>
    <mergeCell ref="C8:F8"/>
    <mergeCell ref="C9:F9"/>
    <mergeCell ref="C10:F10"/>
  </mergeCells>
  <dataValidations count="1">
    <dataValidation type="list" allowBlank="1" showInputMessage="1" showErrorMessage="1" sqref="C28:C29 Q28:Q29" xr:uid="{00000000-0002-0000-0100-000000000000}">
      <formula1>"Yes, No"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'Regeneration Costs'!$B$4:$B$16</xm:f>
          </x14:formula1>
          <xm:sqref>C11 Q11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D81614CA6A14C9C82D5959144F5AD" ma:contentTypeVersion="17" ma:contentTypeDescription="Create a new document." ma:contentTypeScope="" ma:versionID="1aa2b25189b63acb81930a95c64a3952">
  <xsd:schema xmlns:xsd="http://www.w3.org/2001/XMLSchema" xmlns:xs="http://www.w3.org/2001/XMLSchema" xmlns:p="http://schemas.microsoft.com/office/2006/metadata/properties" xmlns:ns2="4275d3e5-9be4-4099-8986-ac121315b92a" xmlns:ns3="69de1ef5-4f8c-4227-962e-e91527cc059d" targetNamespace="http://schemas.microsoft.com/office/2006/metadata/properties" ma:root="true" ma:fieldsID="b9333cf58824c674747afbbfcc300ae6" ns2:_="" ns3:_="">
    <xsd:import namespace="4275d3e5-9be4-4099-8986-ac121315b92a"/>
    <xsd:import namespace="69de1ef5-4f8c-4227-962e-e91527cc05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5d3e5-9be4-4099-8986-ac121315b9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39a1b19-1138-4e88-b022-df7d4328ac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e1ef5-4f8c-4227-962e-e91527cc0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7686864-a976-4c62-9222-4d88c29fbea5}" ma:internalName="TaxCatchAll" ma:showField="CatchAllData" ma:web="69de1ef5-4f8c-4227-962e-e91527cc05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75d3e5-9be4-4099-8986-ac121315b92a">
      <Terms xmlns="http://schemas.microsoft.com/office/infopath/2007/PartnerControls"/>
    </lcf76f155ced4ddcb4097134ff3c332f>
    <TaxCatchAll xmlns="69de1ef5-4f8c-4227-962e-e91527cc059d" xsi:nil="true"/>
  </documentManagement>
</p:properties>
</file>

<file path=customXml/itemProps1.xml><?xml version="1.0" encoding="utf-8"?>
<ds:datastoreItem xmlns:ds="http://schemas.openxmlformats.org/officeDocument/2006/customXml" ds:itemID="{A44F495E-9613-4587-A748-9CFE078FBE99}"/>
</file>

<file path=customXml/itemProps2.xml><?xml version="1.0" encoding="utf-8"?>
<ds:datastoreItem xmlns:ds="http://schemas.openxmlformats.org/officeDocument/2006/customXml" ds:itemID="{343EED64-DCB2-4BB0-B1EE-B890D4A44D0D}"/>
</file>

<file path=customXml/itemProps3.xml><?xml version="1.0" encoding="utf-8"?>
<ds:datastoreItem xmlns:ds="http://schemas.openxmlformats.org/officeDocument/2006/customXml" ds:itemID="{E9E0D20A-2E34-4BC2-8849-45F0E8BE0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ExxonMobil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McManus, Jesse</dc:creator>
  <cp:keywords/>
  <dc:description/>
  <cp:lastModifiedBy/>
  <cp:revision/>
  <dcterms:created xsi:type="dcterms:W3CDTF">2024-01-09T16:23:35Z</dcterms:created>
  <dcterms:modified xsi:type="dcterms:W3CDTF">2024-03-01T18:13:05Z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0x010100654D81614CA6A14C9C82D5959144F5AD</vt:lpwstr>
  </property>
  <property fmtid="{D5CDD505-2E9C-101B-9397-08002B2CF9AE}" pid="3" name="_AdHocReviewCycleID">
    <vt:i4>-358781404</vt:i4>
  </property>
  <property fmtid="{D5CDD505-2E9C-101B-9397-08002B2CF9AE}" pid="4" name="_NewReviewCycle">
    <vt:lpwstr/>
  </property>
  <property fmtid="{D5CDD505-2E9C-101B-9397-08002B2CF9AE}" pid="5" name="_EmailSubject">
    <vt:lpwstr>Fixed Score Calculator</vt:lpwstr>
  </property>
  <property fmtid="{D5CDD505-2E9C-101B-9397-08002B2CF9AE}" pid="6" name="_AuthorEmail">
    <vt:lpwstr>jesse.mcmanus@exxonmobil.com</vt:lpwstr>
  </property>
  <property fmtid="{D5CDD505-2E9C-101B-9397-08002B2CF9AE}" pid="7" name="_AuthorEmailDisplayName">
    <vt:lpwstr>McManus, Jesse</vt:lpwstr>
  </property>
  <property fmtid="{D5CDD505-2E9C-101B-9397-08002B2CF9AE}" pid="8" name="_ReviewingToolsShownOnce">
    <vt:lpwstr/>
  </property>
</Properties>
</file>